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820" activeTab="0"/>
  </bookViews>
  <sheets>
    <sheet name="9. ภาระค่าใช้จ่าย" sheetId="1" r:id="rId1"/>
  </sheets>
  <externalReferences>
    <externalReference r:id="rId4"/>
  </externalReferences>
  <definedNames>
    <definedName name="_xlnm.Print_Titles" localSheetId="0">'9. ภาระค่าใช้จ่าย'!$3:$4</definedName>
  </definedNames>
  <calcPr fullCalcOnLoad="1"/>
</workbook>
</file>

<file path=xl/sharedStrings.xml><?xml version="1.0" encoding="utf-8"?>
<sst xmlns="http://schemas.openxmlformats.org/spreadsheetml/2006/main" count="150" uniqueCount="48">
  <si>
    <t>9. ภาระค่าใช้จ่ายเกี่ยวกับเงินเดือนและประโยชน์ตอบแทนอื่น</t>
  </si>
  <si>
    <t>ที่</t>
  </si>
  <si>
    <t>ตำแหน่ง</t>
  </si>
  <si>
    <t>จำนวน</t>
  </si>
  <si>
    <t>ระดับ</t>
  </si>
  <si>
    <t>ทั้งหมด</t>
  </si>
  <si>
    <t>จำนวนที่มีอยู่</t>
  </si>
  <si>
    <t>จำนวนคน</t>
  </si>
  <si>
    <t>จำนวนเงิน (1)</t>
  </si>
  <si>
    <t>ค่าใช้จ่ายรวม (3)</t>
  </si>
  <si>
    <t>เจ้าหน้าที่วิเคราะห์นโยบายและแผน</t>
  </si>
  <si>
    <t>เจ้าพนักงานธุรการ</t>
  </si>
  <si>
    <t>เจ้าหน้าที่พัฒนาชุมชน</t>
  </si>
  <si>
    <t>เจ้าหน้าที่บันทึกข้อมูล</t>
  </si>
  <si>
    <t>เจ้าหน้าที่ป้องกันและบรรเทาสาธารณภัย</t>
  </si>
  <si>
    <t>เจ้าพนักงานการเงินและบัญชี</t>
  </si>
  <si>
    <t>เจ้าพนักงานพัสดุ</t>
  </si>
  <si>
    <t>เจ้าพนักงานจัดเก็บรายได้</t>
  </si>
  <si>
    <t>เจ้าพนักงานการประปา</t>
  </si>
  <si>
    <t>นายช่างโยธา</t>
  </si>
  <si>
    <t>ช่างสำรวจ</t>
  </si>
  <si>
    <t>กำลังคนที่ต้องการเพิ่มขึ้น</t>
  </si>
  <si>
    <t>ภาระค่าใช้จ่ายที่ต้องการเพิ่มขึ้น (2)</t>
  </si>
  <si>
    <t>-</t>
  </si>
  <si>
    <t>ชื่อสายงาน</t>
  </si>
  <si>
    <t>รวม</t>
  </si>
  <si>
    <t>ประโยชน์ตอบแทนอื่น</t>
  </si>
  <si>
    <t>รวมไม่เกินร้อยละ 40</t>
  </si>
  <si>
    <t>ค่าจ้างพนักงานจ้าง</t>
  </si>
  <si>
    <t>บุคลากร</t>
  </si>
  <si>
    <t>+1</t>
  </si>
  <si>
    <t>นิติกร</t>
  </si>
  <si>
    <t>นักวิชาการศึกษา</t>
  </si>
  <si>
    <t xml:space="preserve">ช่างโยธา </t>
  </si>
  <si>
    <t>ช่างไฟฟ้า</t>
  </si>
  <si>
    <t>เจ้าหน้าที่การเงินและบัญชี (ลูกจ้างประจำ)</t>
  </si>
  <si>
    <t xml:space="preserve">เจ้าหน้าที่ธุรการ </t>
  </si>
  <si>
    <t>+5</t>
  </si>
  <si>
    <t>3 - 5/6ว</t>
  </si>
  <si>
    <t>ปลัด อบต. (นักบริหารงาน อบต.)</t>
  </si>
  <si>
    <t>หน.สำนักงานปลัด อบต. (นักบริหารงานทั่วไป)</t>
  </si>
  <si>
    <t>1 - 3/4</t>
  </si>
  <si>
    <t>หน.ส่วนการคลัง (จนท.บริหารงานการเงินและบัญชี)</t>
  </si>
  <si>
    <t>หน.ส่วนโยธา (จนท.บริหารงานช่าง)</t>
  </si>
  <si>
    <t>สำนักปลัด</t>
  </si>
  <si>
    <t>ส่วนโยธา</t>
  </si>
  <si>
    <t>ส่วนการคลัง</t>
  </si>
  <si>
    <t>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</si>
</sst>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[$-41E]d\ mmmm\ yyyy"/>
    <numFmt numFmtId="192" formatCode="#,##0.0"/>
  </numFmts>
  <fonts count="8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Cordia New"/>
      <family val="2"/>
    </font>
    <font>
      <sz val="12"/>
      <name val="Cordia New"/>
      <family val="2"/>
    </font>
    <font>
      <sz val="12"/>
      <name val="Arial"/>
      <family val="0"/>
    </font>
    <font>
      <b/>
      <sz val="18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shrinkToFi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17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3" fontId="5" fillId="0" borderId="3" xfId="17" applyNumberFormat="1" applyFont="1" applyBorder="1" applyAlignment="1">
      <alignment horizontal="center" vertical="center" shrinkToFit="1"/>
    </xf>
    <xf numFmtId="0" fontId="5" fillId="0" borderId="3" xfId="17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shrinkToFit="1"/>
    </xf>
    <xf numFmtId="49" fontId="5" fillId="0" borderId="1" xfId="0" applyNumberFormat="1" applyFont="1" applyBorder="1" applyAlignment="1">
      <alignment horizontal="center"/>
    </xf>
    <xf numFmtId="3" fontId="5" fillId="0" borderId="1" xfId="17" applyNumberFormat="1" applyFont="1" applyBorder="1" applyAlignment="1">
      <alignment/>
    </xf>
    <xf numFmtId="3" fontId="5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4" xfId="17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shrinkToFit="1"/>
    </xf>
    <xf numFmtId="49" fontId="5" fillId="0" borderId="4" xfId="0" applyNumberFormat="1" applyFont="1" applyBorder="1" applyAlignment="1">
      <alignment horizontal="center"/>
    </xf>
    <xf numFmtId="3" fontId="5" fillId="0" borderId="4" xfId="17" applyNumberFormat="1" applyFont="1" applyBorder="1" applyAlignment="1">
      <alignment horizontal="center"/>
    </xf>
    <xf numFmtId="3" fontId="4" fillId="0" borderId="4" xfId="17" applyNumberFormat="1" applyFont="1" applyBorder="1" applyAlignment="1">
      <alignment horizontal="center"/>
    </xf>
    <xf numFmtId="0" fontId="5" fillId="0" borderId="4" xfId="17" applyNumberFormat="1" applyFont="1" applyBorder="1" applyAlignment="1" quotePrefix="1">
      <alignment horizontal="center"/>
    </xf>
    <xf numFmtId="0" fontId="5" fillId="0" borderId="0" xfId="0" applyFont="1" applyBorder="1" applyAlignment="1">
      <alignment/>
    </xf>
    <xf numFmtId="3" fontId="5" fillId="0" borderId="0" xfId="17" applyNumberFormat="1" applyFont="1" applyAlignment="1">
      <alignment/>
    </xf>
    <xf numFmtId="3" fontId="5" fillId="0" borderId="2" xfId="17" applyNumberFormat="1" applyFont="1" applyBorder="1" applyAlignment="1">
      <alignment/>
    </xf>
    <xf numFmtId="3" fontId="5" fillId="0" borderId="4" xfId="17" applyNumberFormat="1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shrinkToFit="1"/>
    </xf>
    <xf numFmtId="49" fontId="5" fillId="0" borderId="2" xfId="0" applyNumberFormat="1" applyFont="1" applyBorder="1" applyAlignment="1">
      <alignment horizontal="center"/>
    </xf>
    <xf numFmtId="3" fontId="5" fillId="0" borderId="2" xfId="17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17" applyNumberFormat="1" applyFont="1" applyBorder="1" applyAlignment="1">
      <alignment/>
    </xf>
    <xf numFmtId="3" fontId="4" fillId="0" borderId="3" xfId="17" applyNumberFormat="1" applyFont="1" applyBorder="1" applyAlignment="1" quotePrefix="1">
      <alignment horizontal="center"/>
    </xf>
    <xf numFmtId="3" fontId="4" fillId="0" borderId="3" xfId="17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17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 horizontal="center"/>
    </xf>
    <xf numFmtId="3" fontId="5" fillId="0" borderId="0" xfId="17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shrinkToFi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17" applyNumberFormat="1" applyFont="1" applyAlignment="1">
      <alignment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3" fontId="5" fillId="0" borderId="2" xfId="17" applyNumberFormat="1" applyFont="1" applyBorder="1" applyAlignment="1" quotePrefix="1">
      <alignment horizontal="center"/>
    </xf>
    <xf numFmtId="4" fontId="4" fillId="0" borderId="3" xfId="17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0" xfId="17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3" fontId="5" fillId="0" borderId="5" xfId="17" applyNumberFormat="1" applyFont="1" applyBorder="1" applyAlignment="1">
      <alignment horizontal="center" vertical="center"/>
    </xf>
    <xf numFmtId="3" fontId="5" fillId="0" borderId="6" xfId="17" applyNumberFormat="1" applyFont="1" applyBorder="1" applyAlignment="1">
      <alignment horizontal="center" vertical="center"/>
    </xf>
    <xf numFmtId="3" fontId="5" fillId="0" borderId="7" xfId="17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12;&#3609;&#3629;&#3633;&#3605;&#3619;&#3634;&#3585;&#3635;&#3621;&#3633;&#3591;&#3629;&#3610;&#3605;&#3604;&#3640;&#3626;&#3636;&#3605;2552_2554\&#3610;&#3633;&#3597;&#3594;&#3637;&#3626;&#3619;&#3640;&#3611;&#3588;&#3656;&#3634;&#3651;&#3594;&#3657;&#3592;&#3656;&#3634;&#3618;&#3604;&#3657;&#3634;&#3609;&#3610;&#3640;&#3588;&#3621;&#3634;&#3585;&#3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6">
          <cell r="B6">
            <v>18000000</v>
          </cell>
        </row>
        <row r="7">
          <cell r="B7">
            <v>18400000</v>
          </cell>
        </row>
        <row r="8">
          <cell r="B8">
            <v>18900000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F1" sqref="A1:F1"/>
    </sheetView>
  </sheetViews>
  <sheetFormatPr defaultColWidth="9.140625" defaultRowHeight="12.75"/>
  <cols>
    <col min="1" max="1" width="4.57421875" style="43" customWidth="1"/>
    <col min="2" max="2" width="27.8515625" style="44" customWidth="1"/>
    <col min="3" max="3" width="11.8515625" style="45" customWidth="1"/>
    <col min="4" max="5" width="6.7109375" style="43" customWidth="1"/>
    <col min="6" max="6" width="10.140625" style="29" bestFit="1" customWidth="1"/>
    <col min="7" max="9" width="6.7109375" style="29" customWidth="1"/>
    <col min="10" max="12" width="7.8515625" style="29" customWidth="1"/>
    <col min="13" max="13" width="9.7109375" style="29" bestFit="1" customWidth="1"/>
    <col min="14" max="15" width="9.57421875" style="29" bestFit="1" customWidth="1"/>
    <col min="16" max="16" width="9.140625" style="20" customWidth="1"/>
    <col min="17" max="17" width="9.28125" style="29" hidden="1" customWidth="1"/>
    <col min="18" max="16384" width="9.140625" style="20" customWidth="1"/>
  </cols>
  <sheetData>
    <row r="1" spans="1:17" s="55" customFormat="1" ht="26.25">
      <c r="A1" s="50" t="s">
        <v>0</v>
      </c>
      <c r="B1" s="51"/>
      <c r="C1" s="52"/>
      <c r="D1" s="53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Q1" s="54"/>
    </row>
    <row r="2" spans="1:17" s="6" customFormat="1" ht="12" customHeight="1">
      <c r="A2" s="1"/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Q2" s="5"/>
    </row>
    <row r="3" spans="1:15" s="9" customFormat="1" ht="18.75">
      <c r="A3" s="66" t="s">
        <v>1</v>
      </c>
      <c r="B3" s="68" t="s">
        <v>24</v>
      </c>
      <c r="C3" s="8" t="s">
        <v>4</v>
      </c>
      <c r="D3" s="7" t="s">
        <v>3</v>
      </c>
      <c r="E3" s="69" t="s">
        <v>6</v>
      </c>
      <c r="F3" s="70"/>
      <c r="G3" s="63" t="s">
        <v>21</v>
      </c>
      <c r="H3" s="64"/>
      <c r="I3" s="65"/>
      <c r="J3" s="63" t="s">
        <v>22</v>
      </c>
      <c r="K3" s="64"/>
      <c r="L3" s="65"/>
      <c r="M3" s="63" t="s">
        <v>9</v>
      </c>
      <c r="N3" s="64"/>
      <c r="O3" s="65"/>
    </row>
    <row r="4" spans="1:17" s="9" customFormat="1" ht="18.75">
      <c r="A4" s="67"/>
      <c r="B4" s="67"/>
      <c r="C4" s="10" t="s">
        <v>2</v>
      </c>
      <c r="D4" s="11" t="s">
        <v>5</v>
      </c>
      <c r="E4" s="12" t="s">
        <v>7</v>
      </c>
      <c r="F4" s="13" t="s">
        <v>8</v>
      </c>
      <c r="G4" s="14">
        <v>2552</v>
      </c>
      <c r="H4" s="14">
        <v>2553</v>
      </c>
      <c r="I4" s="14">
        <v>2554</v>
      </c>
      <c r="J4" s="14">
        <v>2552</v>
      </c>
      <c r="K4" s="14">
        <v>2553</v>
      </c>
      <c r="L4" s="14">
        <v>2554</v>
      </c>
      <c r="M4" s="14">
        <v>2552</v>
      </c>
      <c r="N4" s="14">
        <v>2553</v>
      </c>
      <c r="O4" s="14">
        <v>2554</v>
      </c>
      <c r="Q4" s="13" t="s">
        <v>8</v>
      </c>
    </row>
    <row r="5" spans="1:17" ht="18.75">
      <c r="A5" s="15">
        <v>1</v>
      </c>
      <c r="B5" s="16" t="s">
        <v>39</v>
      </c>
      <c r="C5" s="17">
        <v>6</v>
      </c>
      <c r="D5" s="15">
        <v>1</v>
      </c>
      <c r="E5" s="15">
        <v>1</v>
      </c>
      <c r="F5" s="18">
        <f>16480*12</f>
        <v>197760</v>
      </c>
      <c r="G5" s="19" t="s">
        <v>23</v>
      </c>
      <c r="H5" s="19" t="s">
        <v>23</v>
      </c>
      <c r="I5" s="19" t="s">
        <v>23</v>
      </c>
      <c r="J5" s="18">
        <f>(17200-16480)*12</f>
        <v>8640</v>
      </c>
      <c r="K5" s="18">
        <f>(17910-17200)*12</f>
        <v>8520</v>
      </c>
      <c r="L5" s="18">
        <f>(18640-17910)*12</f>
        <v>8760</v>
      </c>
      <c r="M5" s="18">
        <f>F5+J5</f>
        <v>206400</v>
      </c>
      <c r="N5" s="18">
        <f>M5+K5</f>
        <v>214920</v>
      </c>
      <c r="O5" s="18">
        <f>N5+L5</f>
        <v>223680</v>
      </c>
      <c r="Q5" s="30">
        <f>((4610+18180)/2)*3</f>
        <v>34185</v>
      </c>
    </row>
    <row r="6" spans="1:17" ht="18.75">
      <c r="A6" s="22"/>
      <c r="B6" s="57" t="s">
        <v>44</v>
      </c>
      <c r="C6" s="24"/>
      <c r="D6" s="22"/>
      <c r="E6" s="22"/>
      <c r="F6" s="21"/>
      <c r="G6" s="25"/>
      <c r="H6" s="25"/>
      <c r="I6" s="25"/>
      <c r="J6" s="21"/>
      <c r="K6" s="21"/>
      <c r="L6" s="21"/>
      <c r="M6" s="21"/>
      <c r="N6" s="21"/>
      <c r="O6" s="21"/>
      <c r="Q6" s="21"/>
    </row>
    <row r="7" spans="1:17" ht="18.75">
      <c r="A7" s="22">
        <v>2</v>
      </c>
      <c r="B7" s="23" t="s">
        <v>40</v>
      </c>
      <c r="C7" s="24" t="s">
        <v>47</v>
      </c>
      <c r="D7" s="22">
        <v>1</v>
      </c>
      <c r="E7" s="60" t="s">
        <v>23</v>
      </c>
      <c r="F7" s="21">
        <f>((12530+27500)/2)*12</f>
        <v>240180</v>
      </c>
      <c r="G7" s="25" t="s">
        <v>23</v>
      </c>
      <c r="H7" s="25" t="s">
        <v>23</v>
      </c>
      <c r="I7" s="25" t="s">
        <v>23</v>
      </c>
      <c r="J7" s="21">
        <v>9720</v>
      </c>
      <c r="K7" s="21">
        <v>9960</v>
      </c>
      <c r="L7" s="21">
        <v>10320</v>
      </c>
      <c r="M7" s="21">
        <v>249900</v>
      </c>
      <c r="N7" s="21">
        <v>259860</v>
      </c>
      <c r="O7" s="21">
        <v>270180</v>
      </c>
      <c r="Q7" s="21">
        <f>15410*3</f>
        <v>46230</v>
      </c>
    </row>
    <row r="8" spans="1:15" ht="18.75">
      <c r="A8" s="22">
        <v>3</v>
      </c>
      <c r="B8" s="23" t="s">
        <v>10</v>
      </c>
      <c r="C8" s="24">
        <v>4</v>
      </c>
      <c r="D8" s="22">
        <v>1</v>
      </c>
      <c r="E8" s="22">
        <v>1</v>
      </c>
      <c r="F8" s="21">
        <f>9940*12</f>
        <v>119280</v>
      </c>
      <c r="G8" s="25" t="s">
        <v>23</v>
      </c>
      <c r="H8" s="25" t="s">
        <v>23</v>
      </c>
      <c r="I8" s="25" t="s">
        <v>23</v>
      </c>
      <c r="J8" s="21">
        <f>(10420-9940)*12</f>
        <v>5760</v>
      </c>
      <c r="K8" s="21">
        <f>(10900-10420)*12</f>
        <v>5760</v>
      </c>
      <c r="L8" s="21">
        <f>(11390-10900)*12</f>
        <v>5880</v>
      </c>
      <c r="M8" s="21">
        <f>F8+J8</f>
        <v>125040</v>
      </c>
      <c r="N8" s="21">
        <f>M8+K8</f>
        <v>130800</v>
      </c>
      <c r="O8" s="21">
        <f>N8+L8</f>
        <v>136680</v>
      </c>
    </row>
    <row r="9" spans="1:17" ht="18.75">
      <c r="A9" s="22">
        <v>4</v>
      </c>
      <c r="B9" s="23" t="s">
        <v>29</v>
      </c>
      <c r="C9" s="24" t="s">
        <v>38</v>
      </c>
      <c r="D9" s="22">
        <v>1</v>
      </c>
      <c r="E9" s="22" t="s">
        <v>23</v>
      </c>
      <c r="F9" s="25" t="s">
        <v>23</v>
      </c>
      <c r="G9" s="26" t="s">
        <v>23</v>
      </c>
      <c r="H9" s="25" t="s">
        <v>23</v>
      </c>
      <c r="I9" s="27" t="s">
        <v>30</v>
      </c>
      <c r="J9" s="25" t="s">
        <v>23</v>
      </c>
      <c r="K9" s="25" t="s">
        <v>23</v>
      </c>
      <c r="L9" s="21">
        <v>205800</v>
      </c>
      <c r="M9" s="25" t="s">
        <v>23</v>
      </c>
      <c r="N9" s="25" t="s">
        <v>23</v>
      </c>
      <c r="O9" s="21">
        <v>205800</v>
      </c>
      <c r="Q9" s="21">
        <f>((6800+27500)/2)*3</f>
        <v>51450</v>
      </c>
    </row>
    <row r="10" spans="1:17" ht="18.75">
      <c r="A10" s="22">
        <v>5</v>
      </c>
      <c r="B10" s="23" t="s">
        <v>31</v>
      </c>
      <c r="C10" s="24" t="s">
        <v>38</v>
      </c>
      <c r="D10" s="22">
        <v>1</v>
      </c>
      <c r="E10" s="22" t="s">
        <v>23</v>
      </c>
      <c r="F10" s="61" t="s">
        <v>23</v>
      </c>
      <c r="G10" s="27" t="s">
        <v>30</v>
      </c>
      <c r="H10" s="25" t="s">
        <v>23</v>
      </c>
      <c r="I10" s="25" t="s">
        <v>23</v>
      </c>
      <c r="J10" s="21">
        <f>((6800+27500)/2)*12</f>
        <v>205800</v>
      </c>
      <c r="K10" s="21">
        <f>(13240-12530)*12</f>
        <v>8520</v>
      </c>
      <c r="L10" s="21">
        <f>(13960-13240)*12</f>
        <v>8640</v>
      </c>
      <c r="M10" s="21">
        <f>((6800+27500)/2)*12</f>
        <v>205800</v>
      </c>
      <c r="N10" s="21">
        <v>214320</v>
      </c>
      <c r="O10" s="21">
        <v>222960</v>
      </c>
      <c r="Q10" s="21">
        <f>(8700*3)</f>
        <v>26100</v>
      </c>
    </row>
    <row r="11" spans="1:17" ht="18.75">
      <c r="A11" s="22">
        <v>6</v>
      </c>
      <c r="B11" s="23" t="s">
        <v>32</v>
      </c>
      <c r="C11" s="24" t="s">
        <v>38</v>
      </c>
      <c r="D11" s="22">
        <v>1</v>
      </c>
      <c r="E11" s="22" t="s">
        <v>23</v>
      </c>
      <c r="F11" s="25" t="s">
        <v>23</v>
      </c>
      <c r="G11" s="27" t="s">
        <v>30</v>
      </c>
      <c r="H11" s="25" t="s">
        <v>23</v>
      </c>
      <c r="I11" s="25" t="s">
        <v>23</v>
      </c>
      <c r="J11" s="21">
        <f>((6800+27500)/2)*12</f>
        <v>205800</v>
      </c>
      <c r="K11" s="21">
        <f>(13240-12530)*12</f>
        <v>8520</v>
      </c>
      <c r="L11" s="21">
        <f>(13960-13240)*12</f>
        <v>8640</v>
      </c>
      <c r="M11" s="21">
        <f>((6800+27500)/2)*12</f>
        <v>205800</v>
      </c>
      <c r="N11" s="21">
        <v>214320</v>
      </c>
      <c r="O11" s="21">
        <v>222960</v>
      </c>
      <c r="Q11" s="21">
        <f>8500*3</f>
        <v>25500</v>
      </c>
    </row>
    <row r="12" spans="1:17" ht="18.75">
      <c r="A12" s="22">
        <v>7</v>
      </c>
      <c r="B12" s="23" t="s">
        <v>11</v>
      </c>
      <c r="C12" s="24">
        <v>2</v>
      </c>
      <c r="D12" s="22">
        <v>1</v>
      </c>
      <c r="E12" s="22">
        <v>1</v>
      </c>
      <c r="F12" s="21">
        <f>6630*12</f>
        <v>79560</v>
      </c>
      <c r="G12" s="25" t="s">
        <v>23</v>
      </c>
      <c r="H12" s="25" t="s">
        <v>23</v>
      </c>
      <c r="I12" s="25" t="s">
        <v>23</v>
      </c>
      <c r="J12" s="21">
        <f>(6940-6630)*12</f>
        <v>3720</v>
      </c>
      <c r="K12" s="21">
        <f>(7260-6940)*12</f>
        <v>3840</v>
      </c>
      <c r="L12" s="21">
        <f>(7580-7260)*12</f>
        <v>3840</v>
      </c>
      <c r="M12" s="21">
        <f>F12+J12</f>
        <v>83280</v>
      </c>
      <c r="N12" s="21">
        <f aca="true" t="shared" si="0" ref="N12:O16">M12+K12</f>
        <v>87120</v>
      </c>
      <c r="O12" s="21">
        <f t="shared" si="0"/>
        <v>90960</v>
      </c>
      <c r="Q12" s="21">
        <f>((4610+18180)/2)*3</f>
        <v>34185</v>
      </c>
    </row>
    <row r="13" spans="1:17" ht="18.75">
      <c r="A13" s="22">
        <v>8</v>
      </c>
      <c r="B13" s="23" t="s">
        <v>12</v>
      </c>
      <c r="C13" s="24">
        <v>2</v>
      </c>
      <c r="D13" s="22">
        <v>1</v>
      </c>
      <c r="E13" s="22">
        <v>1</v>
      </c>
      <c r="F13" s="21">
        <f>6090*12</f>
        <v>73080</v>
      </c>
      <c r="G13" s="25" t="s">
        <v>23</v>
      </c>
      <c r="H13" s="25" t="s">
        <v>23</v>
      </c>
      <c r="I13" s="25" t="s">
        <v>23</v>
      </c>
      <c r="J13" s="21">
        <f>(6330-6090)*12</f>
        <v>2880</v>
      </c>
      <c r="K13" s="21">
        <f>(6590-6330)*12</f>
        <v>3120</v>
      </c>
      <c r="L13" s="21">
        <f>(6860-6590)*12</f>
        <v>3240</v>
      </c>
      <c r="M13" s="21">
        <f>F13+J13</f>
        <v>75960</v>
      </c>
      <c r="N13" s="21">
        <f t="shared" si="0"/>
        <v>79080</v>
      </c>
      <c r="O13" s="21">
        <f t="shared" si="0"/>
        <v>82320</v>
      </c>
      <c r="Q13" s="21">
        <f>6090*3</f>
        <v>18270</v>
      </c>
    </row>
    <row r="14" spans="1:17" ht="18.75">
      <c r="A14" s="22">
        <v>9</v>
      </c>
      <c r="B14" s="23" t="s">
        <v>14</v>
      </c>
      <c r="C14" s="24" t="s">
        <v>41</v>
      </c>
      <c r="D14" s="22">
        <v>1</v>
      </c>
      <c r="E14" s="22" t="s">
        <v>23</v>
      </c>
      <c r="F14" s="21">
        <f>((4630+18190)/2)*12</f>
        <v>136920</v>
      </c>
      <c r="G14" s="25" t="s">
        <v>23</v>
      </c>
      <c r="H14" s="25" t="s">
        <v>23</v>
      </c>
      <c r="I14" s="25" t="s">
        <v>23</v>
      </c>
      <c r="J14" s="21">
        <f>(8770-8320)*12</f>
        <v>5400</v>
      </c>
      <c r="K14" s="21">
        <f>(9230-8770)*12</f>
        <v>5520</v>
      </c>
      <c r="L14" s="21">
        <f>(9700-9230)*12</f>
        <v>5640</v>
      </c>
      <c r="M14" s="21">
        <f>F14+J14</f>
        <v>142320</v>
      </c>
      <c r="N14" s="21">
        <f t="shared" si="0"/>
        <v>147840</v>
      </c>
      <c r="O14" s="21">
        <f t="shared" si="0"/>
        <v>153480</v>
      </c>
      <c r="Q14" s="21">
        <f>9940*3</f>
        <v>29820</v>
      </c>
    </row>
    <row r="15" spans="1:17" s="28" customFormat="1" ht="18.75">
      <c r="A15" s="22">
        <v>10</v>
      </c>
      <c r="B15" s="23" t="s">
        <v>13</v>
      </c>
      <c r="C15" s="24" t="s">
        <v>41</v>
      </c>
      <c r="D15" s="22">
        <v>1</v>
      </c>
      <c r="E15" s="22" t="s">
        <v>23</v>
      </c>
      <c r="F15" s="21">
        <f>((4630+18190)/2)*12</f>
        <v>136920</v>
      </c>
      <c r="G15" s="25" t="s">
        <v>23</v>
      </c>
      <c r="H15" s="25" t="s">
        <v>23</v>
      </c>
      <c r="I15" s="25" t="s">
        <v>23</v>
      </c>
      <c r="J15" s="21">
        <f>(8770-8320)*12</f>
        <v>5400</v>
      </c>
      <c r="K15" s="21">
        <f>(9230-8770)*12</f>
        <v>5520</v>
      </c>
      <c r="L15" s="21">
        <f>(9700-9230)*12</f>
        <v>5640</v>
      </c>
      <c r="M15" s="21">
        <f>F15+J15</f>
        <v>142320</v>
      </c>
      <c r="N15" s="21">
        <f t="shared" si="0"/>
        <v>147840</v>
      </c>
      <c r="O15" s="21">
        <f t="shared" si="0"/>
        <v>153480</v>
      </c>
      <c r="Q15" s="21">
        <f>7730*3</f>
        <v>23190</v>
      </c>
    </row>
    <row r="16" spans="1:17" s="28" customFormat="1" ht="18.75">
      <c r="A16" s="22">
        <v>11</v>
      </c>
      <c r="B16" s="23" t="s">
        <v>36</v>
      </c>
      <c r="C16" s="24" t="s">
        <v>41</v>
      </c>
      <c r="D16" s="22">
        <v>1</v>
      </c>
      <c r="E16" s="22" t="s">
        <v>23</v>
      </c>
      <c r="F16" s="47" t="s">
        <v>23</v>
      </c>
      <c r="G16" s="31" t="s">
        <v>30</v>
      </c>
      <c r="H16" s="25" t="s">
        <v>23</v>
      </c>
      <c r="I16" s="25" t="s">
        <v>23</v>
      </c>
      <c r="J16" s="21">
        <f>((4630+18190)/2)*12</f>
        <v>136920</v>
      </c>
      <c r="K16" s="21">
        <f>(8770-8320)*12</f>
        <v>5400</v>
      </c>
      <c r="L16" s="21">
        <f>(9230-8770)*12</f>
        <v>5520</v>
      </c>
      <c r="M16" s="21">
        <f>((4630+18190)/2)*12</f>
        <v>136920</v>
      </c>
      <c r="N16" s="21">
        <f t="shared" si="0"/>
        <v>142320</v>
      </c>
      <c r="O16" s="21">
        <f t="shared" si="0"/>
        <v>147840</v>
      </c>
      <c r="Q16" s="46">
        <f>10420*3</f>
        <v>31260</v>
      </c>
    </row>
    <row r="17" spans="1:17" ht="18.75">
      <c r="A17" s="22"/>
      <c r="B17" s="56" t="s">
        <v>46</v>
      </c>
      <c r="C17" s="24"/>
      <c r="D17" s="22"/>
      <c r="E17" s="22"/>
      <c r="F17" s="21"/>
      <c r="G17" s="27"/>
      <c r="H17" s="25"/>
      <c r="I17" s="25"/>
      <c r="J17" s="21"/>
      <c r="K17" s="21"/>
      <c r="L17" s="21"/>
      <c r="M17" s="21"/>
      <c r="N17" s="21"/>
      <c r="O17" s="21"/>
      <c r="Q17" s="21"/>
    </row>
    <row r="18" spans="1:17" ht="18.75">
      <c r="A18" s="22">
        <v>12</v>
      </c>
      <c r="B18" s="23" t="s">
        <v>42</v>
      </c>
      <c r="C18" s="24">
        <v>6</v>
      </c>
      <c r="D18" s="22">
        <v>1</v>
      </c>
      <c r="E18" s="22">
        <v>1</v>
      </c>
      <c r="F18" s="21">
        <f>15410*12</f>
        <v>184920</v>
      </c>
      <c r="G18" s="25" t="s">
        <v>23</v>
      </c>
      <c r="H18" s="25" t="s">
        <v>23</v>
      </c>
      <c r="I18" s="25" t="s">
        <v>23</v>
      </c>
      <c r="J18" s="21">
        <f>(16110-15410)*12</f>
        <v>8400</v>
      </c>
      <c r="K18" s="21">
        <f>(16840-16110)*12</f>
        <v>8760</v>
      </c>
      <c r="L18" s="21">
        <f>(17560-16840)*12</f>
        <v>8640</v>
      </c>
      <c r="M18" s="21">
        <f>F18+J18</f>
        <v>193320</v>
      </c>
      <c r="N18" s="21">
        <f aca="true" t="shared" si="1" ref="N18:O22">M18+K18</f>
        <v>202080</v>
      </c>
      <c r="O18" s="21">
        <f t="shared" si="1"/>
        <v>210720</v>
      </c>
      <c r="Q18" s="21">
        <f>6330*3</f>
        <v>18990</v>
      </c>
    </row>
    <row r="19" spans="1:17" ht="18.75">
      <c r="A19" s="22">
        <v>13</v>
      </c>
      <c r="B19" s="23" t="s">
        <v>17</v>
      </c>
      <c r="C19" s="24">
        <v>4</v>
      </c>
      <c r="D19" s="22">
        <v>1</v>
      </c>
      <c r="E19" s="22">
        <v>1</v>
      </c>
      <c r="F19" s="21">
        <f>(8700*12)</f>
        <v>104400</v>
      </c>
      <c r="G19" s="25" t="s">
        <v>23</v>
      </c>
      <c r="H19" s="25" t="s">
        <v>23</v>
      </c>
      <c r="I19" s="25" t="s">
        <v>23</v>
      </c>
      <c r="J19" s="21">
        <f>(9080-8700)*12</f>
        <v>4560</v>
      </c>
      <c r="K19" s="21">
        <f>(9470-9080)*12</f>
        <v>4680</v>
      </c>
      <c r="L19" s="21">
        <f>(9850-9470)*12</f>
        <v>4560</v>
      </c>
      <c r="M19" s="21">
        <f>F19+J19</f>
        <v>108960</v>
      </c>
      <c r="N19" s="21">
        <f t="shared" si="1"/>
        <v>113640</v>
      </c>
      <c r="O19" s="21">
        <f t="shared" si="1"/>
        <v>118200</v>
      </c>
      <c r="Q19" s="21">
        <f>((6800+27500)/2)*3</f>
        <v>51450</v>
      </c>
    </row>
    <row r="20" spans="1:17" ht="18.75">
      <c r="A20" s="22">
        <v>14</v>
      </c>
      <c r="B20" s="23" t="s">
        <v>16</v>
      </c>
      <c r="C20" s="24">
        <v>3</v>
      </c>
      <c r="D20" s="22">
        <v>1</v>
      </c>
      <c r="E20" s="22">
        <v>1</v>
      </c>
      <c r="F20" s="21">
        <f>8320*12</f>
        <v>99840</v>
      </c>
      <c r="G20" s="25" t="s">
        <v>23</v>
      </c>
      <c r="H20" s="25" t="s">
        <v>23</v>
      </c>
      <c r="I20" s="25" t="s">
        <v>23</v>
      </c>
      <c r="J20" s="21">
        <f>(8700-8320)*12</f>
        <v>4560</v>
      </c>
      <c r="K20" s="21">
        <f>(9080-8700)*12</f>
        <v>4560</v>
      </c>
      <c r="L20" s="21">
        <f>(9470-9080)*12</f>
        <v>4680</v>
      </c>
      <c r="M20" s="21">
        <f>F20+J20</f>
        <v>104400</v>
      </c>
      <c r="N20" s="21">
        <f t="shared" si="1"/>
        <v>108960</v>
      </c>
      <c r="O20" s="21">
        <f t="shared" si="1"/>
        <v>113640</v>
      </c>
      <c r="Q20" s="21"/>
    </row>
    <row r="21" spans="1:17" ht="18.75">
      <c r="A21" s="22">
        <v>15</v>
      </c>
      <c r="B21" s="23" t="s">
        <v>15</v>
      </c>
      <c r="C21" s="24">
        <v>3</v>
      </c>
      <c r="D21" s="22">
        <v>1</v>
      </c>
      <c r="E21" s="22">
        <v>1</v>
      </c>
      <c r="F21" s="21">
        <f>8500*12</f>
        <v>102000</v>
      </c>
      <c r="G21" s="25" t="s">
        <v>23</v>
      </c>
      <c r="H21" s="25" t="s">
        <v>23</v>
      </c>
      <c r="I21" s="25" t="s">
        <v>23</v>
      </c>
      <c r="J21" s="21">
        <f>(8890-8500)*12</f>
        <v>4680</v>
      </c>
      <c r="K21" s="21">
        <f>(9270-8890)*12</f>
        <v>4560</v>
      </c>
      <c r="L21" s="21">
        <f>(9660-9270)*12</f>
        <v>4680</v>
      </c>
      <c r="M21" s="21">
        <f>F21+J21</f>
        <v>106680</v>
      </c>
      <c r="N21" s="21">
        <f t="shared" si="1"/>
        <v>111240</v>
      </c>
      <c r="O21" s="21">
        <f t="shared" si="1"/>
        <v>115920</v>
      </c>
      <c r="Q21" s="21">
        <f>6630*3</f>
        <v>19890</v>
      </c>
    </row>
    <row r="22" spans="1:17" s="28" customFormat="1" ht="18.75">
      <c r="A22" s="22">
        <v>16</v>
      </c>
      <c r="B22" s="23" t="s">
        <v>35</v>
      </c>
      <c r="C22" s="24" t="s">
        <v>23</v>
      </c>
      <c r="D22" s="22">
        <v>1</v>
      </c>
      <c r="E22" s="22">
        <v>1</v>
      </c>
      <c r="F22" s="21">
        <f>7730*12</f>
        <v>92760</v>
      </c>
      <c r="G22" s="25" t="s">
        <v>23</v>
      </c>
      <c r="H22" s="25" t="s">
        <v>23</v>
      </c>
      <c r="I22" s="25" t="s">
        <v>23</v>
      </c>
      <c r="J22" s="21">
        <f>(8040-7730)*12</f>
        <v>3720</v>
      </c>
      <c r="K22" s="21">
        <f>(8380-8040)*12</f>
        <v>4080</v>
      </c>
      <c r="L22" s="21">
        <f>(8710-8380)*12</f>
        <v>3960</v>
      </c>
      <c r="M22" s="21">
        <f>F22+J22</f>
        <v>96480</v>
      </c>
      <c r="N22" s="21">
        <f t="shared" si="1"/>
        <v>100560</v>
      </c>
      <c r="O22" s="21">
        <f t="shared" si="1"/>
        <v>104520</v>
      </c>
      <c r="Q22" s="46">
        <f>6470*3</f>
        <v>19410</v>
      </c>
    </row>
    <row r="23" spans="1:17" ht="18.75">
      <c r="A23" s="22"/>
      <c r="B23" s="57" t="s">
        <v>45</v>
      </c>
      <c r="C23" s="24"/>
      <c r="D23" s="22"/>
      <c r="E23" s="22"/>
      <c r="F23" s="21"/>
      <c r="G23" s="25"/>
      <c r="H23" s="25"/>
      <c r="I23" s="25"/>
      <c r="J23" s="21"/>
      <c r="K23" s="21"/>
      <c r="L23" s="21"/>
      <c r="M23" s="21"/>
      <c r="N23" s="21"/>
      <c r="O23" s="21"/>
      <c r="Q23" s="21"/>
    </row>
    <row r="24" spans="1:15" ht="18.75">
      <c r="A24" s="32">
        <v>17</v>
      </c>
      <c r="B24" s="33" t="s">
        <v>43</v>
      </c>
      <c r="C24" s="34">
        <v>5</v>
      </c>
      <c r="D24" s="32">
        <v>1</v>
      </c>
      <c r="E24" s="32">
        <v>1</v>
      </c>
      <c r="F24" s="30">
        <f>10420*12</f>
        <v>125040</v>
      </c>
      <c r="G24" s="35" t="s">
        <v>23</v>
      </c>
      <c r="H24" s="35" t="s">
        <v>23</v>
      </c>
      <c r="I24" s="35" t="s">
        <v>23</v>
      </c>
      <c r="J24" s="30">
        <f>(10900-10420)*12</f>
        <v>5760</v>
      </c>
      <c r="K24" s="30">
        <f>(11390-10900)*12</f>
        <v>5880</v>
      </c>
      <c r="L24" s="30">
        <f>(11870-11390)*12</f>
        <v>5760</v>
      </c>
      <c r="M24" s="30">
        <f>F24+J24</f>
        <v>130800</v>
      </c>
      <c r="N24" s="30">
        <f aca="true" t="shared" si="2" ref="N24:N29">M24+K24</f>
        <v>136680</v>
      </c>
      <c r="O24" s="30">
        <f>N24</f>
        <v>136680</v>
      </c>
    </row>
    <row r="25" spans="1:17" ht="18.75">
      <c r="A25" s="22">
        <v>18</v>
      </c>
      <c r="B25" s="23" t="s">
        <v>18</v>
      </c>
      <c r="C25" s="24">
        <v>2</v>
      </c>
      <c r="D25" s="22">
        <v>1</v>
      </c>
      <c r="E25" s="22">
        <v>1</v>
      </c>
      <c r="F25" s="21">
        <f>6470*12</f>
        <v>77640</v>
      </c>
      <c r="G25" s="25" t="s">
        <v>23</v>
      </c>
      <c r="H25" s="25" t="s">
        <v>23</v>
      </c>
      <c r="I25" s="25" t="s">
        <v>23</v>
      </c>
      <c r="J25" s="21">
        <f>(6800-6470)*12</f>
        <v>3960</v>
      </c>
      <c r="K25" s="21">
        <f>(7100-6800)*12</f>
        <v>3600</v>
      </c>
      <c r="L25" s="21">
        <f>(7420-7100)*12</f>
        <v>3840</v>
      </c>
      <c r="M25" s="21">
        <f>F25+J25</f>
        <v>81600</v>
      </c>
      <c r="N25" s="21">
        <f t="shared" si="2"/>
        <v>85200</v>
      </c>
      <c r="O25" s="21">
        <f>N25+L25</f>
        <v>89040</v>
      </c>
      <c r="Q25" s="21">
        <f>((4610+18180)/2)*3</f>
        <v>34185</v>
      </c>
    </row>
    <row r="26" spans="1:17" ht="18.75">
      <c r="A26" s="22">
        <v>19</v>
      </c>
      <c r="B26" s="23" t="s">
        <v>19</v>
      </c>
      <c r="C26" s="24">
        <v>2</v>
      </c>
      <c r="D26" s="22">
        <v>1</v>
      </c>
      <c r="E26" s="22">
        <v>1</v>
      </c>
      <c r="F26" s="21">
        <f>6330*12</f>
        <v>75960</v>
      </c>
      <c r="G26" s="25" t="s">
        <v>23</v>
      </c>
      <c r="H26" s="25" t="s">
        <v>23</v>
      </c>
      <c r="I26" s="25" t="s">
        <v>23</v>
      </c>
      <c r="J26" s="21">
        <f>(6590-6330)*12</f>
        <v>3120</v>
      </c>
      <c r="K26" s="21">
        <f>(6860-6590)*12</f>
        <v>3240</v>
      </c>
      <c r="L26" s="21">
        <f>(7120-6860)*12</f>
        <v>3120</v>
      </c>
      <c r="M26" s="21">
        <f>F26+J26</f>
        <v>79080</v>
      </c>
      <c r="N26" s="21">
        <f t="shared" si="2"/>
        <v>82320</v>
      </c>
      <c r="O26" s="21">
        <f>N26+L26</f>
        <v>85440</v>
      </c>
      <c r="Q26" s="21"/>
    </row>
    <row r="27" spans="1:17" ht="18.75">
      <c r="A27" s="22">
        <v>20</v>
      </c>
      <c r="B27" s="23" t="s">
        <v>20</v>
      </c>
      <c r="C27" s="24" t="s">
        <v>41</v>
      </c>
      <c r="D27" s="22">
        <v>1</v>
      </c>
      <c r="E27" s="22" t="s">
        <v>23</v>
      </c>
      <c r="F27" s="21">
        <f>((4630+18190)/2)*12</f>
        <v>136920</v>
      </c>
      <c r="G27" s="25" t="s">
        <v>23</v>
      </c>
      <c r="H27" s="25" t="s">
        <v>23</v>
      </c>
      <c r="I27" s="25" t="s">
        <v>23</v>
      </c>
      <c r="J27" s="21">
        <f>(8770-8320)*12</f>
        <v>5400</v>
      </c>
      <c r="K27" s="21">
        <f>(9230-8770)*12</f>
        <v>5520</v>
      </c>
      <c r="L27" s="21">
        <f>(9700-9230)*12</f>
        <v>5640</v>
      </c>
      <c r="M27" s="21">
        <f>F27+J27</f>
        <v>142320</v>
      </c>
      <c r="N27" s="21">
        <f t="shared" si="2"/>
        <v>147840</v>
      </c>
      <c r="O27" s="21">
        <f>N27+L27</f>
        <v>153480</v>
      </c>
      <c r="Q27" s="21">
        <f>8320*3</f>
        <v>24960</v>
      </c>
    </row>
    <row r="28" spans="1:17" ht="18.75">
      <c r="A28" s="22">
        <v>21</v>
      </c>
      <c r="B28" s="23" t="s">
        <v>33</v>
      </c>
      <c r="C28" s="24" t="s">
        <v>41</v>
      </c>
      <c r="D28" s="22">
        <v>1</v>
      </c>
      <c r="E28" s="22" t="s">
        <v>23</v>
      </c>
      <c r="F28" s="61" t="s">
        <v>23</v>
      </c>
      <c r="G28" s="31" t="s">
        <v>30</v>
      </c>
      <c r="H28" s="25" t="s">
        <v>23</v>
      </c>
      <c r="I28" s="25" t="s">
        <v>23</v>
      </c>
      <c r="J28" s="21">
        <f>((4630+18190)/2)*12</f>
        <v>136920</v>
      </c>
      <c r="K28" s="21">
        <f>(8770-8320)*12</f>
        <v>5400</v>
      </c>
      <c r="L28" s="21">
        <f>(9230-8770)*12</f>
        <v>5520</v>
      </c>
      <c r="M28" s="21">
        <f>((4630+18190)/2)*12</f>
        <v>136920</v>
      </c>
      <c r="N28" s="21">
        <f t="shared" si="2"/>
        <v>142320</v>
      </c>
      <c r="O28" s="21">
        <f>N28+L28</f>
        <v>147840</v>
      </c>
      <c r="Q28" s="18">
        <f>16480*3</f>
        <v>49440</v>
      </c>
    </row>
    <row r="29" spans="1:17" ht="18.75">
      <c r="A29" s="32">
        <v>22</v>
      </c>
      <c r="B29" s="33" t="s">
        <v>34</v>
      </c>
      <c r="C29" s="34" t="s">
        <v>41</v>
      </c>
      <c r="D29" s="32">
        <v>1</v>
      </c>
      <c r="E29" s="32" t="s">
        <v>23</v>
      </c>
      <c r="F29" s="61" t="s">
        <v>23</v>
      </c>
      <c r="G29" s="58" t="s">
        <v>30</v>
      </c>
      <c r="H29" s="35" t="s">
        <v>23</v>
      </c>
      <c r="I29" s="35" t="s">
        <v>23</v>
      </c>
      <c r="J29" s="21">
        <f>((4630+18190)/2)*12</f>
        <v>136920</v>
      </c>
      <c r="K29" s="30">
        <f>(8770-8320)*12</f>
        <v>5400</v>
      </c>
      <c r="L29" s="30">
        <f>(9230-8770)*12</f>
        <v>5520</v>
      </c>
      <c r="M29" s="30">
        <f>((4630+18190)/2)*12</f>
        <v>136920</v>
      </c>
      <c r="N29" s="30">
        <f t="shared" si="2"/>
        <v>142320</v>
      </c>
      <c r="O29" s="30">
        <f>N29+L29</f>
        <v>147840</v>
      </c>
      <c r="Q29" s="21">
        <f>((6800+27500)/2)*3</f>
        <v>51450</v>
      </c>
    </row>
    <row r="30" spans="1:17" s="41" customFormat="1" ht="18">
      <c r="A30" s="62" t="s">
        <v>25</v>
      </c>
      <c r="B30" s="62"/>
      <c r="C30" s="36" t="s">
        <v>23</v>
      </c>
      <c r="D30" s="37">
        <f>SUM(D7:D25)</f>
        <v>17</v>
      </c>
      <c r="E30" s="37">
        <f>SUM(E7:E25)</f>
        <v>10</v>
      </c>
      <c r="F30" s="38">
        <f>SUM(F8:F25)</f>
        <v>1332360</v>
      </c>
      <c r="G30" s="39" t="s">
        <v>37</v>
      </c>
      <c r="H30" s="40" t="s">
        <v>23</v>
      </c>
      <c r="I30" s="39" t="s">
        <v>30</v>
      </c>
      <c r="J30" s="38">
        <f aca="true" t="shared" si="3" ref="J30:O30">SUM(J8:J25)</f>
        <v>607320</v>
      </c>
      <c r="K30" s="38">
        <f t="shared" si="3"/>
        <v>82320</v>
      </c>
      <c r="L30" s="38">
        <f t="shared" si="3"/>
        <v>288960</v>
      </c>
      <c r="M30" s="38">
        <f t="shared" si="3"/>
        <v>1939680</v>
      </c>
      <c r="N30" s="38">
        <f t="shared" si="3"/>
        <v>2022000</v>
      </c>
      <c r="O30" s="38">
        <f t="shared" si="3"/>
        <v>2305200</v>
      </c>
      <c r="Q30" s="42">
        <f>SUM(Q19:Q25)</f>
        <v>124935</v>
      </c>
    </row>
    <row r="31" spans="1:17" s="41" customFormat="1" ht="18">
      <c r="A31" s="62" t="s">
        <v>28</v>
      </c>
      <c r="B31" s="62"/>
      <c r="C31" s="36" t="s">
        <v>23</v>
      </c>
      <c r="D31" s="37">
        <v>13</v>
      </c>
      <c r="E31" s="37">
        <v>9</v>
      </c>
      <c r="F31" s="38">
        <v>849600</v>
      </c>
      <c r="G31" s="39" t="s">
        <v>37</v>
      </c>
      <c r="H31" s="40" t="s">
        <v>23</v>
      </c>
      <c r="I31" s="40" t="s">
        <v>23</v>
      </c>
      <c r="J31" s="38">
        <v>849600</v>
      </c>
      <c r="K31" s="38">
        <v>17640</v>
      </c>
      <c r="L31" s="38">
        <v>20160</v>
      </c>
      <c r="M31" s="38">
        <v>849600</v>
      </c>
      <c r="N31" s="38">
        <v>867240</v>
      </c>
      <c r="O31" s="38">
        <v>887400</v>
      </c>
      <c r="Q31" s="42"/>
    </row>
    <row r="32" spans="1:17" s="41" customFormat="1" ht="18">
      <c r="A32" s="62" t="s">
        <v>26</v>
      </c>
      <c r="B32" s="62"/>
      <c r="C32" s="36" t="s">
        <v>23</v>
      </c>
      <c r="D32" s="37"/>
      <c r="E32" s="37"/>
      <c r="F32" s="38"/>
      <c r="G32" s="38"/>
      <c r="H32" s="38"/>
      <c r="I32" s="38"/>
      <c r="J32" s="38"/>
      <c r="K32" s="38"/>
      <c r="L32" s="38"/>
      <c r="M32" s="38">
        <f>M30*20%</f>
        <v>387936</v>
      </c>
      <c r="N32" s="38">
        <f>N30*20%</f>
        <v>404400</v>
      </c>
      <c r="O32" s="38">
        <f>O30*20%</f>
        <v>461040</v>
      </c>
      <c r="Q32" s="42"/>
    </row>
    <row r="33" spans="1:17" s="41" customFormat="1" ht="18">
      <c r="A33" s="62" t="s">
        <v>27</v>
      </c>
      <c r="B33" s="62"/>
      <c r="C33" s="36" t="s">
        <v>23</v>
      </c>
      <c r="D33" s="37"/>
      <c r="E33" s="37"/>
      <c r="F33" s="38"/>
      <c r="G33" s="38"/>
      <c r="H33" s="38"/>
      <c r="I33" s="38"/>
      <c r="J33" s="38"/>
      <c r="K33" s="38"/>
      <c r="L33" s="38"/>
      <c r="M33" s="59">
        <f>((SUM(M30:M32))/'[1]Sheet2'!$B$6)*100</f>
        <v>17.6512</v>
      </c>
      <c r="N33" s="59">
        <f>((SUM(N30:N32))/'[1]Sheet2'!$B$7)*100</f>
        <v>17.90021739130435</v>
      </c>
      <c r="O33" s="59">
        <f>((SUM(O30:O32))/'[1]Sheet2'!$B$8)*100</f>
        <v>19.33142857142857</v>
      </c>
      <c r="Q33" s="42"/>
    </row>
    <row r="34" spans="1:17" s="28" customFormat="1" ht="18.75">
      <c r="A34" s="47"/>
      <c r="B34" s="48"/>
      <c r="C34" s="49"/>
      <c r="D34" s="47"/>
      <c r="E34" s="47"/>
      <c r="F34" s="46"/>
      <c r="G34" s="46"/>
      <c r="H34" s="46"/>
      <c r="I34" s="46"/>
      <c r="J34" s="46"/>
      <c r="K34" s="46"/>
      <c r="L34" s="46"/>
      <c r="M34" s="46"/>
      <c r="N34" s="46"/>
      <c r="O34" s="46"/>
      <c r="Q34" s="46"/>
    </row>
  </sheetData>
  <mergeCells count="10">
    <mergeCell ref="A32:B32"/>
    <mergeCell ref="A33:B33"/>
    <mergeCell ref="J3:L3"/>
    <mergeCell ref="M3:O3"/>
    <mergeCell ref="A30:B30"/>
    <mergeCell ref="A31:B31"/>
    <mergeCell ref="A3:A4"/>
    <mergeCell ref="B3:B4"/>
    <mergeCell ref="E3:F3"/>
    <mergeCell ref="G3:I3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Shytalayclub</cp:lastModifiedBy>
  <cp:lastPrinted>2008-09-15T03:11:14Z</cp:lastPrinted>
  <dcterms:created xsi:type="dcterms:W3CDTF">2008-08-08T12:11:07Z</dcterms:created>
  <dcterms:modified xsi:type="dcterms:W3CDTF">2009-05-26T03:25:50Z</dcterms:modified>
  <cp:category/>
  <cp:version/>
  <cp:contentType/>
  <cp:contentStatus/>
</cp:coreProperties>
</file>